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BSEN 6260\solar PV assignment\"/>
    </mc:Choice>
  </mc:AlternateContent>
  <bookViews>
    <workbookView xWindow="0" yWindow="0" windowWidth="28800" windowHeight="12300" activeTab="2"/>
  </bookViews>
  <sheets>
    <sheet name="Scenario 1" sheetId="1" r:id="rId1"/>
    <sheet name="Scenario 2 " sheetId="2" r:id="rId2"/>
    <sheet name="Scenario 3 " sheetId="3" r:id="rId3"/>
  </sheets>
  <calcPr calcId="162913"/>
</workbook>
</file>

<file path=xl/calcChain.xml><?xml version="1.0" encoding="utf-8"?>
<calcChain xmlns="http://schemas.openxmlformats.org/spreadsheetml/2006/main">
  <c r="E30" i="2" l="1"/>
  <c r="E31" i="2" s="1"/>
  <c r="M16" i="1"/>
  <c r="M28" i="1" s="1"/>
  <c r="N16" i="1" s="1"/>
  <c r="E29" i="2"/>
  <c r="E28" i="2"/>
  <c r="P16" i="3"/>
  <c r="O16" i="3"/>
  <c r="M17" i="3"/>
  <c r="M18" i="3"/>
  <c r="M19" i="3"/>
  <c r="M20" i="3"/>
  <c r="M21" i="3"/>
  <c r="M22" i="3"/>
  <c r="M23" i="3"/>
  <c r="M24" i="3"/>
  <c r="M25" i="3"/>
  <c r="M26" i="3"/>
  <c r="M27" i="3"/>
  <c r="M16" i="3"/>
  <c r="M17" i="1"/>
  <c r="M18" i="1"/>
  <c r="M19" i="1"/>
  <c r="M20" i="1"/>
  <c r="M21" i="1"/>
  <c r="M22" i="1"/>
  <c r="M23" i="1"/>
  <c r="M24" i="1"/>
  <c r="M25" i="1"/>
  <c r="M26" i="1"/>
  <c r="M27" i="1"/>
  <c r="P16" i="1" l="1"/>
  <c r="O16" i="1"/>
  <c r="M28" i="3"/>
  <c r="N16" i="3" s="1"/>
  <c r="G17" i="3"/>
  <c r="H17" i="3" s="1"/>
  <c r="I17" i="3" s="1"/>
  <c r="J17" i="3" s="1"/>
  <c r="G18" i="3"/>
  <c r="H18" i="3" s="1"/>
  <c r="G19" i="3"/>
  <c r="H19" i="3" s="1"/>
  <c r="I19" i="3" s="1"/>
  <c r="J19" i="3" s="1"/>
  <c r="G20" i="3"/>
  <c r="H20" i="3" s="1"/>
  <c r="G21" i="3"/>
  <c r="H21" i="3" s="1"/>
  <c r="I21" i="3" s="1"/>
  <c r="J21" i="3" s="1"/>
  <c r="G22" i="3"/>
  <c r="H22" i="3" s="1"/>
  <c r="I22" i="3" s="1"/>
  <c r="J22" i="3" s="1"/>
  <c r="G23" i="3"/>
  <c r="H23" i="3" s="1"/>
  <c r="G24" i="3"/>
  <c r="H24" i="3" s="1"/>
  <c r="G25" i="3"/>
  <c r="H25" i="3" s="1"/>
  <c r="I25" i="3" s="1"/>
  <c r="J25" i="3" s="1"/>
  <c r="G26" i="3"/>
  <c r="H26" i="3" s="1"/>
  <c r="G27" i="3"/>
  <c r="H27" i="3" s="1"/>
  <c r="I27" i="3" s="1"/>
  <c r="J27" i="3" s="1"/>
  <c r="G16" i="3"/>
  <c r="H16" i="3" s="1"/>
  <c r="I16" i="3" s="1"/>
  <c r="J16" i="3" s="1"/>
  <c r="L16" i="3" s="1"/>
  <c r="E27" i="3"/>
  <c r="E26" i="3"/>
  <c r="E25" i="3"/>
  <c r="E24" i="3"/>
  <c r="E23" i="3"/>
  <c r="E22" i="3"/>
  <c r="E21" i="3"/>
  <c r="E20" i="3"/>
  <c r="E19" i="3"/>
  <c r="E18" i="3"/>
  <c r="E17" i="3"/>
  <c r="E16" i="3"/>
  <c r="G9" i="3"/>
  <c r="E24" i="2"/>
  <c r="E12" i="2"/>
  <c r="E13" i="2" s="1"/>
  <c r="E15" i="2" s="1"/>
  <c r="E21" i="2" s="1"/>
  <c r="E6" i="2"/>
  <c r="E7" i="2" s="1"/>
  <c r="E8" i="2" s="1"/>
  <c r="E26" i="2" s="1"/>
  <c r="E33" i="2" s="1"/>
  <c r="L16" i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E20" i="2"/>
  <c r="F16" i="1"/>
  <c r="F17" i="1"/>
  <c r="F18" i="1"/>
  <c r="F19" i="1"/>
  <c r="F20" i="1"/>
  <c r="F21" i="1"/>
  <c r="F22" i="1"/>
  <c r="F23" i="1"/>
  <c r="F24" i="1"/>
  <c r="F25" i="1"/>
  <c r="F26" i="1"/>
  <c r="F27" i="1"/>
  <c r="I20" i="3" l="1"/>
  <c r="J20" i="3" s="1"/>
  <c r="I26" i="3"/>
  <c r="J26" i="3" s="1"/>
  <c r="I18" i="3"/>
  <c r="J18" i="3" s="1"/>
  <c r="I24" i="3"/>
  <c r="J24" i="3" s="1"/>
  <c r="I23" i="3"/>
  <c r="J23" i="3" s="1"/>
  <c r="E35" i="2"/>
  <c r="I17" i="1"/>
  <c r="I22" i="1"/>
  <c r="I16" i="1"/>
  <c r="I23" i="1"/>
  <c r="I25" i="1"/>
  <c r="I18" i="1"/>
  <c r="I26" i="1"/>
  <c r="I24" i="1"/>
  <c r="I19" i="1"/>
  <c r="I27" i="1"/>
  <c r="I20" i="1"/>
  <c r="I21" i="1"/>
  <c r="G8" i="1"/>
</calcChain>
</file>

<file path=xl/sharedStrings.xml><?xml version="1.0" encoding="utf-8"?>
<sst xmlns="http://schemas.openxmlformats.org/spreadsheetml/2006/main" count="127" uniqueCount="79">
  <si>
    <t>CALIFORNIA</t>
  </si>
  <si>
    <t>Residential energy consumed for california </t>
  </si>
  <si>
    <t xml:space="preserve">population </t>
  </si>
  <si>
    <t xml:space="preserve">Persons per household </t>
  </si>
  <si>
    <t>Households</t>
  </si>
  <si>
    <t>Month</t>
  </si>
  <si>
    <t>Days</t>
  </si>
  <si>
    <t>I(F)</t>
  </si>
  <si>
    <t>kWh/m2/d</t>
  </si>
  <si>
    <t>BP E 160 modules: Nominal power generation= 160 W at an irradiation of 1000 W/m2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</si>
  <si>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</si>
  <si>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</si>
  <si>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</si>
  <si>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</si>
  <si>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</si>
  <si>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</si>
  <si>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</si>
  <si>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</si>
  <si>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</si>
  <si>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</si>
  <si>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</si>
  <si>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</si>
  <si>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Ef</t>
  </si>
  <si>
    <t>kWh</t>
  </si>
  <si>
    <t>Energy requirement in July</t>
  </si>
  <si>
    <t xml:space="preserve">No. of modules </t>
  </si>
  <si>
    <t>backup battery system selected : East Penn Dekka batteries</t>
  </si>
  <si>
    <t>Depth of storage specified=</t>
  </si>
  <si>
    <t>%</t>
  </si>
  <si>
    <t>Battery current</t>
  </si>
  <si>
    <t>Voltage</t>
  </si>
  <si>
    <t>Ah</t>
  </si>
  <si>
    <t>V</t>
  </si>
  <si>
    <t>Storage capacity=</t>
  </si>
  <si>
    <t>number of sets =</t>
  </si>
  <si>
    <t>million kWh</t>
  </si>
  <si>
    <t>Data source: U.S. Energy Information Administration</t>
  </si>
  <si>
    <t>residential million kWh</t>
  </si>
  <si>
    <t>Residential electricity consumption per household in a month</t>
  </si>
  <si>
    <t>BP E 160 modules required</t>
  </si>
  <si>
    <t>Modules required</t>
  </si>
  <si>
    <t>Cost of 1 module</t>
  </si>
  <si>
    <t>Residential electricity consumption (total population of state)</t>
  </si>
  <si>
    <t>Energy use per day in july =</t>
  </si>
  <si>
    <t>Energy use for 2 days =</t>
  </si>
  <si>
    <t>Storage required=</t>
  </si>
  <si>
    <t>sets</t>
  </si>
  <si>
    <t>sets required</t>
  </si>
  <si>
    <t>Discharge characteristics</t>
  </si>
  <si>
    <t>Total cost of PV system</t>
  </si>
  <si>
    <t>Total cost of modules =</t>
  </si>
  <si>
    <t>Cost of 1 set =</t>
  </si>
  <si>
    <t>(as of 2008)</t>
  </si>
  <si>
    <t>Total cost of batery sets=</t>
  </si>
  <si>
    <t>Total cost of PV system =</t>
  </si>
  <si>
    <t>Scenario 1 : PV supplies 100% of electricty annually</t>
  </si>
  <si>
    <t xml:space="preserve">Scenario 2 : PV supplies 100% of electricty need in July </t>
  </si>
  <si>
    <t xml:space="preserve">Scenario 3 : Electricity usage is reduced by 15% </t>
  </si>
  <si>
    <t>Reduced Residential electricity consumption per household in a month</t>
  </si>
  <si>
    <t>(https://www.eia.gov/electricity/data.cfm#sales)</t>
  </si>
  <si>
    <t>(http://rredc.nrel.gov/solar/pubs/redbook/)</t>
  </si>
  <si>
    <t>B.K. Hodge, 2010</t>
  </si>
  <si>
    <t>(rounded to 15)</t>
  </si>
  <si>
    <t>Money savings with 30% federal tax credit</t>
  </si>
  <si>
    <t>30% of system cost (This credit can be used to pay federal taxes)</t>
  </si>
  <si>
    <t>Net cost of PV system</t>
  </si>
  <si>
    <t>federal tax credit (30%)=</t>
  </si>
  <si>
    <t xml:space="preserve">Net cost of PV system= </t>
  </si>
  <si>
    <r>
      <t>Money savings with 30% federal tax credit (</t>
    </r>
    <r>
      <rPr>
        <sz val="11"/>
        <color theme="1"/>
        <rFont val="Calibri"/>
        <family val="2"/>
        <scheme val="minor"/>
      </rPr>
      <t>http://blog.recsolar.com/how-to-calculate-the-30-federal-investment-tax-credit-for-solar)</t>
    </r>
  </si>
  <si>
    <t>LADWP - SOLAR INCENTIVE PROGRAM</t>
  </si>
  <si>
    <t>$0.3/W CEC-AC</t>
  </si>
  <si>
    <t>Net cost of system after LA incentive</t>
  </si>
  <si>
    <t xml:space="preserve">Net solar cost  = </t>
  </si>
  <si>
    <t>LA solar credit, for entire year  ($0.3/W)=</t>
  </si>
  <si>
    <t xml:space="preserve">As this credit will go only to electricity from solar PV </t>
  </si>
  <si>
    <t xml:space="preserve">Energy generated by 1 module in 1 year = </t>
  </si>
  <si>
    <t>Energy genearted by 15 modules in a year =</t>
  </si>
  <si>
    <t>$0.3/W CEC-AC (https://energy.gov/savings/ladwp-solar-incentive-program)</t>
  </si>
  <si>
    <t>https://energy.gov/savings/ladwp-solar-incentive-program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</si>
</sst>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0" borderId="15" applyNumberFormat="0" applyFill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9" xfId="0" applyNumberFormat="1" applyBorder="1"/>
    <xf numFmtId="2" fontId="0" fillId="0" borderId="0" xfId="0" applyNumberFormat="1"/>
    <xf numFmtId="164" fontId="0" fillId="0" borderId="0" xfId="0" applyNumberFormat="1"/>
    <xf numFmtId="17" fontId="1" fillId="0" borderId="0" xfId="0" applyNumberFormat="1" applyFont="1"/>
    <xf numFmtId="6" fontId="0" fillId="0" borderId="0" xfId="0" applyNumberFormat="1"/>
    <xf numFmtId="6" fontId="0" fillId="2" borderId="1" xfId="0" applyNumberFormat="1" applyFill="1" applyBorder="1"/>
    <xf numFmtId="0" fontId="0" fillId="5" borderId="1" xfId="0" applyFill="1" applyBorder="1"/>
    <xf numFmtId="17" fontId="0" fillId="5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3" fontId="0" fillId="0" borderId="0" xfId="0" applyNumberFormat="1" applyBorder="1"/>
    <xf numFmtId="3" fontId="0" fillId="0" borderId="5" xfId="0" applyNumberFormat="1" applyBorder="1"/>
    <xf numFmtId="0" fontId="1" fillId="0" borderId="0" xfId="0" applyFont="1" applyAlignment="1">
      <alignment wrapText="1"/>
    </xf>
    <xf numFmtId="2" fontId="0" fillId="0" borderId="0" xfId="0" applyNumberFormat="1" applyBorder="1"/>
    <xf numFmtId="164" fontId="0" fillId="0" borderId="0" xfId="0" applyNumberFormat="1" applyBorder="1"/>
    <xf numFmtId="164" fontId="1" fillId="0" borderId="0" xfId="0" applyNumberFormat="1" applyFont="1" applyBorder="1"/>
    <xf numFmtId="6" fontId="0" fillId="0" borderId="0" xfId="0" applyNumberFormat="1" applyBorder="1"/>
    <xf numFmtId="164" fontId="0" fillId="0" borderId="9" xfId="0" applyNumberFormat="1" applyBorder="1"/>
    <xf numFmtId="165" fontId="1" fillId="2" borderId="13" xfId="0" applyNumberFormat="1" applyFont="1" applyFill="1" applyBorder="1"/>
    <xf numFmtId="164" fontId="1" fillId="0" borderId="1" xfId="0" applyNumberFormat="1" applyFont="1" applyBorder="1"/>
    <xf numFmtId="0" fontId="1" fillId="4" borderId="0" xfId="0" applyFont="1" applyFill="1" applyAlignment="1">
      <alignment wrapText="1"/>
    </xf>
    <xf numFmtId="0" fontId="0" fillId="4" borderId="3" xfId="0" applyFill="1" applyBorder="1"/>
    <xf numFmtId="2" fontId="0" fillId="4" borderId="0" xfId="0" applyNumberFormat="1" applyFill="1" applyBorder="1"/>
    <xf numFmtId="2" fontId="0" fillId="4" borderId="9" xfId="0" applyNumberFormat="1" applyFill="1" applyBorder="1"/>
    <xf numFmtId="2" fontId="1" fillId="4" borderId="0" xfId="0" applyNumberFormat="1" applyFont="1" applyFill="1" applyBorder="1"/>
    <xf numFmtId="0" fontId="1" fillId="0" borderId="1" xfId="0" applyFont="1" applyBorder="1"/>
    <xf numFmtId="6" fontId="2" fillId="2" borderId="1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164" fontId="0" fillId="4" borderId="0" xfId="0" applyNumberFormat="1" applyFill="1" applyBorder="1"/>
    <xf numFmtId="0" fontId="0" fillId="3" borderId="0" xfId="0" applyFill="1" applyBorder="1"/>
    <xf numFmtId="0" fontId="1" fillId="0" borderId="11" xfId="0" applyFont="1" applyFill="1" applyBorder="1" applyAlignment="1">
      <alignment wrapText="1"/>
    </xf>
    <xf numFmtId="0" fontId="0" fillId="0" borderId="1" xfId="0" applyFill="1" applyBorder="1"/>
    <xf numFmtId="164" fontId="0" fillId="0" borderId="12" xfId="0" applyNumberFormat="1" applyFill="1" applyBorder="1"/>
    <xf numFmtId="164" fontId="0" fillId="0" borderId="13" xfId="0" applyNumberFormat="1" applyFill="1" applyBorder="1"/>
    <xf numFmtId="164" fontId="0" fillId="4" borderId="8" xfId="0" applyNumberFormat="1" applyFill="1" applyBorder="1"/>
    <xf numFmtId="164" fontId="1" fillId="0" borderId="9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165" fontId="1" fillId="2" borderId="1" xfId="0" applyNumberFormat="1" applyFont="1" applyFill="1" applyBorder="1"/>
    <xf numFmtId="8" fontId="0" fillId="0" borderId="0" xfId="0" applyNumberFormat="1"/>
    <xf numFmtId="8" fontId="2" fillId="2" borderId="1" xfId="0" applyNumberFormat="1" applyFont="1" applyFill="1" applyBorder="1"/>
    <xf numFmtId="165" fontId="1" fillId="0" borderId="0" xfId="0" applyNumberFormat="1" applyFont="1" applyFill="1" applyBorder="1"/>
    <xf numFmtId="165" fontId="1" fillId="2" borderId="8" xfId="0" applyNumberFormat="1" applyFont="1" applyFill="1" applyBorder="1"/>
    <xf numFmtId="165" fontId="1" fillId="0" borderId="1" xfId="0" applyNumberFormat="1" applyFont="1" applyBorder="1"/>
    <xf numFmtId="8" fontId="0" fillId="0" borderId="4" xfId="0" applyNumberFormat="1" applyFont="1" applyFill="1" applyBorder="1"/>
    <xf numFmtId="165" fontId="1" fillId="2" borderId="10" xfId="0" applyNumberFormat="1" applyFont="1" applyFill="1" applyBorder="1"/>
    <xf numFmtId="165" fontId="0" fillId="0" borderId="11" xfId="0" applyNumberFormat="1" applyFont="1" applyFill="1" applyBorder="1"/>
    <xf numFmtId="165" fontId="0" fillId="0" borderId="12" xfId="0" applyNumberFormat="1" applyFont="1" applyFill="1" applyBorder="1"/>
    <xf numFmtId="165" fontId="0" fillId="0" borderId="13" xfId="0" applyNumberFormat="1" applyFont="1" applyFill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0" xfId="0" applyBorder="1" applyAlignment="1">
      <alignment wrapText="1"/>
    </xf>
    <xf numFmtId="8" fontId="0" fillId="0" borderId="1" xfId="0" applyNumberFormat="1" applyFont="1" applyFill="1" applyBorder="1"/>
    <xf numFmtId="0" fontId="0" fillId="0" borderId="0" xfId="0" applyFill="1" applyBorder="1"/>
    <xf numFmtId="6" fontId="2" fillId="0" borderId="0" xfId="0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38" fontId="3" fillId="0" borderId="0" xfId="0" applyNumberFormat="1" applyFont="1" applyFill="1" applyBorder="1"/>
    <xf numFmtId="6" fontId="2" fillId="0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5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7" borderId="2" xfId="0" applyFill="1" applyBorder="1" applyAlignment="1">
      <alignment wrapText="1"/>
    </xf>
    <xf numFmtId="0" fontId="0" fillId="0" borderId="0" xfId="0" applyAlignment="1"/>
    <xf numFmtId="0" fontId="4" fillId="0" borderId="15" xfId="1" applyAlignment="1"/>
    <xf numFmtId="0" fontId="4" fillId="0" borderId="15" xfId="1"/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95250</xdr:rowOff>
    </xdr:from>
    <xdr:to>
      <xdr:col>14</xdr:col>
      <xdr:colOff>1011906</xdr:colOff>
      <xdr:row>8</xdr:row>
      <xdr:rowOff>114001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8431881" cy="171420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304800</xdr:colOff>
      <xdr:row>29</xdr:row>
      <xdr:rowOff>74611</xdr:rowOff>
    </xdr:from>
    <xdr:to>
      <xdr:col>6</xdr:col>
      <xdr:colOff>352425</xdr:colOff>
      <xdr:row>34</xdr:row>
      <xdr:rowOff>57326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6484936"/>
          <a:ext cx="2390775" cy="93521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C1" workbookViewId="0">
      <selection activeCell="M15" sqref="M15"/>
    </sheetView>
  </sheetViews>
  <sheetFormatPr defaultRowHeight="15" x14ac:dyDescent="0.25"/>
  <cols>
    <col min="1" max="1" width="10" customWidth="1"/>
    <col min="2" max="2" width="14.85546875" customWidth="1"/>
    <col min="5" max="6" width="13" customWidth="1"/>
    <col min="7" max="7" width="21.140625" customWidth="1"/>
    <col min="8" max="8" width="23.7109375" customWidth="1"/>
    <col min="9" max="9" width="21.140625" customWidth="1"/>
    <col min="10" max="10" width="18.28515625" customWidth="1"/>
    <col min="11" max="11" width="22.5703125" customWidth="1"/>
    <col min="12" max="12" width="10.7109375" customWidth="1"/>
    <col min="13" max="13" width="24.85546875" customWidth="1"/>
    <col min="14" max="14" width="20.42578125" customWidth="1"/>
    <col min="15" max="15" width="23.140625" customWidth="1"/>
    <col min="16" max="16" width="19" customWidth="1"/>
    <col min="17" max="17" width="17.7109375" customWidth="1"/>
  </cols>
  <sheetData>
    <row r="1" spans="1:16" x14ac:dyDescent="0.25">
      <c r="G1" s="1" t="s">
        <v>0</v>
      </c>
    </row>
    <row r="3" spans="1:16" x14ac:dyDescent="0.25">
      <c r="B3" s="37" t="s">
        <v>55</v>
      </c>
      <c r="C3" s="38"/>
      <c r="D3" s="38"/>
      <c r="E3" s="39"/>
    </row>
    <row r="4" spans="1:16" ht="28.5" customHeight="1" x14ac:dyDescent="0.25">
      <c r="G4" s="13">
        <v>42705</v>
      </c>
    </row>
    <row r="5" spans="1:16" x14ac:dyDescent="0.25">
      <c r="B5" s="2" t="s">
        <v>1</v>
      </c>
      <c r="C5" s="2"/>
      <c r="D5" s="2"/>
      <c r="E5" s="2"/>
      <c r="F5" s="2"/>
      <c r="G5" s="2">
        <v>88400</v>
      </c>
    </row>
    <row r="6" spans="1:16" x14ac:dyDescent="0.25">
      <c r="B6" s="2" t="s">
        <v>2</v>
      </c>
      <c r="C6" s="2"/>
      <c r="D6" s="2"/>
      <c r="E6" s="2"/>
      <c r="F6" s="2"/>
      <c r="G6" s="21">
        <v>39250017</v>
      </c>
    </row>
    <row r="7" spans="1:16" x14ac:dyDescent="0.25">
      <c r="B7" s="2" t="s">
        <v>3</v>
      </c>
      <c r="C7" s="2"/>
      <c r="D7" s="2"/>
      <c r="E7" s="2"/>
      <c r="F7" s="2"/>
      <c r="G7" s="2">
        <v>2.96</v>
      </c>
    </row>
    <row r="8" spans="1:16" x14ac:dyDescent="0.25">
      <c r="B8" s="8" t="s">
        <v>4</v>
      </c>
      <c r="C8" s="8"/>
      <c r="D8" s="8"/>
      <c r="E8" s="8"/>
      <c r="F8" s="8"/>
      <c r="G8" s="8">
        <f>G6/G7</f>
        <v>13260140.878378378</v>
      </c>
    </row>
    <row r="10" spans="1:16" x14ac:dyDescent="0.25">
      <c r="J10" s="83" t="s">
        <v>60</v>
      </c>
      <c r="K10" s="83"/>
      <c r="L10" s="83"/>
      <c r="M10" s="83"/>
      <c r="N10" s="83"/>
      <c r="O10" s="83"/>
    </row>
    <row r="11" spans="1:16" x14ac:dyDescent="0.25">
      <c r="B11" s="77" t="s">
        <v>9</v>
      </c>
      <c r="C11" s="78"/>
      <c r="D11" s="78"/>
      <c r="E11" s="78"/>
      <c r="F11" s="78"/>
      <c r="G11" s="78"/>
      <c r="H11" s="79"/>
    </row>
    <row r="12" spans="1:16" x14ac:dyDescent="0.25">
      <c r="B12" s="1"/>
    </row>
    <row r="14" spans="1:16" ht="45.75" customHeight="1" x14ac:dyDescent="0.25">
      <c r="A14" s="80" t="s">
        <v>36</v>
      </c>
      <c r="B14" s="81"/>
      <c r="C14" s="64" t="s">
        <v>5</v>
      </c>
      <c r="D14" s="64" t="s">
        <v>6</v>
      </c>
      <c r="E14" s="64" t="s">
        <v>7</v>
      </c>
      <c r="F14" s="64" t="s">
        <v>22</v>
      </c>
      <c r="G14" s="65" t="s">
        <v>42</v>
      </c>
      <c r="H14" s="66" t="s">
        <v>38</v>
      </c>
      <c r="I14" s="65" t="s">
        <v>39</v>
      </c>
      <c r="J14" s="65" t="s">
        <v>40</v>
      </c>
      <c r="K14" s="65" t="s">
        <v>41</v>
      </c>
      <c r="L14" s="65" t="s">
        <v>49</v>
      </c>
      <c r="M14" s="65" t="s">
        <v>69</v>
      </c>
      <c r="N14" s="65" t="s">
        <v>71</v>
      </c>
      <c r="O14" s="84" t="s">
        <v>68</v>
      </c>
      <c r="P14" s="85"/>
    </row>
    <row r="15" spans="1:16" ht="60.75" customHeight="1" x14ac:dyDescent="0.25">
      <c r="A15" s="16" t="s">
        <v>5</v>
      </c>
      <c r="B15" s="18" t="s">
        <v>37</v>
      </c>
      <c r="C15" s="7"/>
      <c r="D15" s="8"/>
      <c r="E15" s="8" t="s">
        <v>8</v>
      </c>
      <c r="F15" s="8" t="s">
        <v>23</v>
      </c>
      <c r="G15" s="8" t="s">
        <v>35</v>
      </c>
      <c r="H15" s="31" t="s">
        <v>23</v>
      </c>
      <c r="I15" s="8"/>
      <c r="J15" s="8"/>
      <c r="K15" s="8"/>
      <c r="L15" s="9"/>
      <c r="M15" s="91" t="s">
        <v>77</v>
      </c>
      <c r="N15" s="9"/>
      <c r="O15" s="67" t="s">
        <v>64</v>
      </c>
      <c r="P15" s="68" t="s">
        <v>65</v>
      </c>
    </row>
    <row r="16" spans="1:16" x14ac:dyDescent="0.25">
      <c r="A16" s="17">
        <v>42705</v>
      </c>
      <c r="B16" s="19">
        <v>7322.0050600000004</v>
      </c>
      <c r="C16" s="49" t="s">
        <v>10</v>
      </c>
      <c r="D16" s="3">
        <v>31</v>
      </c>
      <c r="E16" s="3">
        <v>4</v>
      </c>
      <c r="F16" s="3">
        <f>160*E16*D16/1000</f>
        <v>19.84</v>
      </c>
      <c r="G16" s="23">
        <f>B27</f>
        <v>7807.7228699999996</v>
      </c>
      <c r="H16" s="32">
        <f>G16*1000*1000*$G$7/$G$6</f>
        <v>588.81145695299949</v>
      </c>
      <c r="I16" s="24">
        <f>H16/F16</f>
        <v>29.677996822227797</v>
      </c>
      <c r="J16" s="25">
        <v>30</v>
      </c>
      <c r="K16" s="26">
        <v>719</v>
      </c>
      <c r="L16" s="57">
        <f>K16*J16</f>
        <v>21570</v>
      </c>
      <c r="M16" s="61">
        <f>H16*0.3*1000/(D16*24)</f>
        <v>237.42397457782238</v>
      </c>
      <c r="N16" s="60">
        <f>L16-M28</f>
        <v>18832.181934356788</v>
      </c>
      <c r="O16" s="59">
        <f>0.3*N16</f>
        <v>5649.6545803070358</v>
      </c>
      <c r="P16" s="53">
        <f>N16-O16</f>
        <v>13182.527354049751</v>
      </c>
    </row>
    <row r="17" spans="1:14" x14ac:dyDescent="0.25">
      <c r="A17" s="17">
        <v>42675</v>
      </c>
      <c r="B17" s="19">
        <v>6194.2274100000004</v>
      </c>
      <c r="C17" s="49" t="s">
        <v>11</v>
      </c>
      <c r="D17" s="3">
        <v>28</v>
      </c>
      <c r="E17" s="3">
        <v>5</v>
      </c>
      <c r="F17" s="3">
        <f t="shared" ref="F17:F27" si="0">160*E17*D17/1000</f>
        <v>22.4</v>
      </c>
      <c r="G17" s="23">
        <f>B26</f>
        <v>6489.0081899999996</v>
      </c>
      <c r="H17" s="32">
        <f t="shared" ref="H17:H27" si="1">G17*1000*1000*$G$7/$G$6</f>
        <v>489.36193435024495</v>
      </c>
      <c r="I17" s="24">
        <f t="shared" ref="I17:I27" si="2">H17/F17</f>
        <v>21.846514926350224</v>
      </c>
      <c r="J17" s="3">
        <v>22</v>
      </c>
      <c r="K17" s="3"/>
      <c r="L17" s="3"/>
      <c r="M17" s="62">
        <f t="shared" ref="M17:M27" si="3">H17*0.3*1000/(D17*24)</f>
        <v>218.46514926350224</v>
      </c>
      <c r="N17" s="56"/>
    </row>
    <row r="18" spans="1:14" x14ac:dyDescent="0.25">
      <c r="A18" s="17">
        <v>42644</v>
      </c>
      <c r="B18" s="19">
        <v>7108.9041299999999</v>
      </c>
      <c r="C18" s="49" t="s">
        <v>12</v>
      </c>
      <c r="D18" s="3">
        <v>31</v>
      </c>
      <c r="E18" s="3">
        <v>6.5</v>
      </c>
      <c r="F18" s="3">
        <f t="shared" si="0"/>
        <v>32.24</v>
      </c>
      <c r="G18" s="23">
        <f>B25</f>
        <v>6448.7995300000002</v>
      </c>
      <c r="H18" s="32">
        <f t="shared" si="1"/>
        <v>486.32963926614349</v>
      </c>
      <c r="I18" s="24">
        <f t="shared" si="2"/>
        <v>15.084666230339437</v>
      </c>
      <c r="J18" s="3">
        <v>16</v>
      </c>
      <c r="K18" s="3"/>
      <c r="L18" s="3"/>
      <c r="M18" s="62">
        <f t="shared" si="3"/>
        <v>196.10066099441269</v>
      </c>
      <c r="N18" s="56"/>
    </row>
    <row r="19" spans="1:14" x14ac:dyDescent="0.25">
      <c r="A19" s="17">
        <v>42614</v>
      </c>
      <c r="B19" s="19">
        <v>8473.2748100000008</v>
      </c>
      <c r="C19" s="49" t="s">
        <v>13</v>
      </c>
      <c r="D19" s="3">
        <v>30</v>
      </c>
      <c r="E19" s="3">
        <v>8</v>
      </c>
      <c r="F19" s="3">
        <f t="shared" si="0"/>
        <v>38.4</v>
      </c>
      <c r="G19" s="23">
        <f>B24</f>
        <v>5916.1965799999998</v>
      </c>
      <c r="H19" s="32">
        <f t="shared" si="1"/>
        <v>446.16393100670501</v>
      </c>
      <c r="I19" s="24">
        <f t="shared" si="2"/>
        <v>11.618852369966277</v>
      </c>
      <c r="J19" s="3">
        <v>12</v>
      </c>
      <c r="K19" s="3"/>
      <c r="L19" s="3"/>
      <c r="M19" s="62">
        <f t="shared" si="3"/>
        <v>185.90163791946043</v>
      </c>
      <c r="N19" s="56"/>
    </row>
    <row r="20" spans="1:14" x14ac:dyDescent="0.25">
      <c r="A20" s="17">
        <v>42583</v>
      </c>
      <c r="B20" s="19">
        <v>10194.063980000001</v>
      </c>
      <c r="C20" s="49" t="s">
        <v>14</v>
      </c>
      <c r="D20" s="3">
        <v>31</v>
      </c>
      <c r="E20" s="3">
        <v>8.6999999999999993</v>
      </c>
      <c r="F20" s="3">
        <f t="shared" si="0"/>
        <v>43.152000000000001</v>
      </c>
      <c r="G20" s="23">
        <f>B23</f>
        <v>5975.41896</v>
      </c>
      <c r="H20" s="32">
        <f t="shared" si="1"/>
        <v>450.63012639204715</v>
      </c>
      <c r="I20" s="24">
        <f t="shared" si="2"/>
        <v>10.442856099185372</v>
      </c>
      <c r="J20" s="3">
        <v>11</v>
      </c>
      <c r="K20" s="3"/>
      <c r="L20" s="3"/>
      <c r="M20" s="62">
        <f t="shared" si="3"/>
        <v>181.70569612582548</v>
      </c>
      <c r="N20" s="56"/>
    </row>
    <row r="21" spans="1:14" x14ac:dyDescent="0.25">
      <c r="A21" s="17">
        <v>42552</v>
      </c>
      <c r="B21" s="19">
        <v>8897.2226599999995</v>
      </c>
      <c r="C21" s="49" t="s">
        <v>15</v>
      </c>
      <c r="D21" s="3">
        <v>30</v>
      </c>
      <c r="E21" s="3">
        <v>8.9</v>
      </c>
      <c r="F21" s="3">
        <f t="shared" si="0"/>
        <v>42.72</v>
      </c>
      <c r="G21" s="23">
        <f>B22</f>
        <v>7572.9074600000004</v>
      </c>
      <c r="H21" s="32">
        <f t="shared" si="1"/>
        <v>571.10309230184532</v>
      </c>
      <c r="I21" s="24">
        <f t="shared" si="2"/>
        <v>13.368518078226717</v>
      </c>
      <c r="J21" s="3">
        <v>14</v>
      </c>
      <c r="K21" s="3"/>
      <c r="L21" s="3"/>
      <c r="M21" s="62">
        <f t="shared" si="3"/>
        <v>237.95962179243551</v>
      </c>
      <c r="N21" s="56"/>
    </row>
    <row r="22" spans="1:14" x14ac:dyDescent="0.25">
      <c r="A22" s="17">
        <v>42522</v>
      </c>
      <c r="B22" s="19">
        <v>7572.9074600000004</v>
      </c>
      <c r="C22" s="49" t="s">
        <v>16</v>
      </c>
      <c r="D22" s="3">
        <v>31</v>
      </c>
      <c r="E22" s="3">
        <v>9.4</v>
      </c>
      <c r="F22" s="3">
        <f t="shared" si="0"/>
        <v>46.624000000000002</v>
      </c>
      <c r="G22" s="23">
        <f>B21</f>
        <v>8897.2226599999995</v>
      </c>
      <c r="H22" s="34">
        <f t="shared" si="1"/>
        <v>670.97497240829216</v>
      </c>
      <c r="I22" s="24">
        <f t="shared" si="2"/>
        <v>14.391192785009697</v>
      </c>
      <c r="J22" s="3">
        <v>15</v>
      </c>
      <c r="K22" s="3"/>
      <c r="L22" s="3"/>
      <c r="M22" s="62">
        <f t="shared" si="3"/>
        <v>270.5544243581823</v>
      </c>
      <c r="N22" s="56"/>
    </row>
    <row r="23" spans="1:14" x14ac:dyDescent="0.25">
      <c r="A23" s="17">
        <v>42491</v>
      </c>
      <c r="B23" s="19">
        <v>5975.41896</v>
      </c>
      <c r="C23" s="49" t="s">
        <v>17</v>
      </c>
      <c r="D23" s="3">
        <v>31</v>
      </c>
      <c r="E23" s="3">
        <v>8.8000000000000007</v>
      </c>
      <c r="F23" s="3">
        <f t="shared" si="0"/>
        <v>43.648000000000003</v>
      </c>
      <c r="G23" s="23">
        <f>B20</f>
        <v>10194.063980000001</v>
      </c>
      <c r="H23" s="32">
        <f t="shared" si="1"/>
        <v>768.77493787582307</v>
      </c>
      <c r="I23" s="24">
        <f t="shared" si="2"/>
        <v>17.613062176407237</v>
      </c>
      <c r="J23" s="3">
        <v>18</v>
      </c>
      <c r="K23" s="3"/>
      <c r="L23" s="3"/>
      <c r="M23" s="62">
        <f t="shared" si="3"/>
        <v>309.98989430476735</v>
      </c>
      <c r="N23" s="56"/>
    </row>
    <row r="24" spans="1:14" x14ac:dyDescent="0.25">
      <c r="A24" s="17">
        <v>42461</v>
      </c>
      <c r="B24" s="19">
        <v>5916.1965799999998</v>
      </c>
      <c r="C24" s="49" t="s">
        <v>18</v>
      </c>
      <c r="D24" s="3">
        <v>30</v>
      </c>
      <c r="E24" s="3">
        <v>8.1999999999999993</v>
      </c>
      <c r="F24" s="3">
        <f t="shared" si="0"/>
        <v>39.36</v>
      </c>
      <c r="G24" s="23">
        <f>B19</f>
        <v>8473.2748100000008</v>
      </c>
      <c r="H24" s="32">
        <f t="shared" si="1"/>
        <v>639.00337769535236</v>
      </c>
      <c r="I24" s="24">
        <f t="shared" si="2"/>
        <v>16.234841912991676</v>
      </c>
      <c r="J24" s="3">
        <v>17</v>
      </c>
      <c r="K24" s="3"/>
      <c r="L24" s="3"/>
      <c r="M24" s="62">
        <f t="shared" si="3"/>
        <v>266.2514073730635</v>
      </c>
      <c r="N24" s="56"/>
    </row>
    <row r="25" spans="1:14" x14ac:dyDescent="0.25">
      <c r="A25" s="17">
        <v>42430</v>
      </c>
      <c r="B25" s="19">
        <v>6448.7995300000002</v>
      </c>
      <c r="C25" s="49" t="s">
        <v>19</v>
      </c>
      <c r="D25" s="3">
        <v>31</v>
      </c>
      <c r="E25" s="3">
        <v>6.6</v>
      </c>
      <c r="F25" s="3">
        <f t="shared" si="0"/>
        <v>32.735999999999997</v>
      </c>
      <c r="G25" s="23">
        <f>B18</f>
        <v>7108.9041299999999</v>
      </c>
      <c r="H25" s="32">
        <f t="shared" si="1"/>
        <v>536.11075441827199</v>
      </c>
      <c r="I25" s="24">
        <f t="shared" si="2"/>
        <v>16.376794795279572</v>
      </c>
      <c r="J25" s="3">
        <v>17</v>
      </c>
      <c r="K25" s="3"/>
      <c r="L25" s="3"/>
      <c r="M25" s="62">
        <f t="shared" si="3"/>
        <v>216.17369129769034</v>
      </c>
      <c r="N25" s="56"/>
    </row>
    <row r="26" spans="1:14" x14ac:dyDescent="0.25">
      <c r="A26" s="17">
        <v>42401</v>
      </c>
      <c r="B26" s="19">
        <v>6489.0081899999996</v>
      </c>
      <c r="C26" s="49" t="s">
        <v>20</v>
      </c>
      <c r="D26" s="3">
        <v>30</v>
      </c>
      <c r="E26" s="3">
        <v>4.5999999999999996</v>
      </c>
      <c r="F26" s="3">
        <f t="shared" si="0"/>
        <v>22.08</v>
      </c>
      <c r="G26" s="23">
        <f>B17</f>
        <v>6194.2274100000004</v>
      </c>
      <c r="H26" s="32">
        <f t="shared" si="1"/>
        <v>467.13134248069241</v>
      </c>
      <c r="I26" s="24">
        <f t="shared" si="2"/>
        <v>21.156310800756</v>
      </c>
      <c r="J26" s="3">
        <v>22</v>
      </c>
      <c r="K26" s="3"/>
      <c r="L26" s="3"/>
      <c r="M26" s="62">
        <f t="shared" si="3"/>
        <v>194.63805936695519</v>
      </c>
      <c r="N26" s="56"/>
    </row>
    <row r="27" spans="1:14" x14ac:dyDescent="0.25">
      <c r="A27" s="17">
        <v>42370</v>
      </c>
      <c r="B27" s="19">
        <v>7807.7228699999996</v>
      </c>
      <c r="C27" s="50" t="s">
        <v>21</v>
      </c>
      <c r="D27" s="5">
        <v>31</v>
      </c>
      <c r="E27" s="5">
        <v>3.9</v>
      </c>
      <c r="F27" s="5">
        <f t="shared" si="0"/>
        <v>19.344000000000001</v>
      </c>
      <c r="G27" s="10">
        <f>B16</f>
        <v>7322.0050600000004</v>
      </c>
      <c r="H27" s="33">
        <f t="shared" si="1"/>
        <v>552.18154370735692</v>
      </c>
      <c r="I27" s="27">
        <f t="shared" si="2"/>
        <v>28.545365162704552</v>
      </c>
      <c r="J27" s="5">
        <v>29</v>
      </c>
      <c r="K27" s="5"/>
      <c r="L27" s="5"/>
      <c r="M27" s="63">
        <f t="shared" si="3"/>
        <v>222.65384826909553</v>
      </c>
      <c r="N27" s="56"/>
    </row>
    <row r="28" spans="1:14" x14ac:dyDescent="0.25">
      <c r="G28" s="82" t="s">
        <v>59</v>
      </c>
      <c r="H28" s="82"/>
      <c r="M28" s="58">
        <f>SUM(M16:M27)</f>
        <v>2737.8180656432132</v>
      </c>
    </row>
  </sheetData>
  <mergeCells count="5">
    <mergeCell ref="B11:H11"/>
    <mergeCell ref="A14:B14"/>
    <mergeCell ref="G28:H28"/>
    <mergeCell ref="J10:O10"/>
    <mergeCell ref="O14:P1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F31" sqref="F31:K31"/>
    </sheetView>
  </sheetViews>
  <sheetFormatPr defaultRowHeight="15" x14ac:dyDescent="0.25"/>
  <cols>
    <col min="4" max="4" width="20.7109375" customWidth="1"/>
    <col min="5" max="5" width="17" customWidth="1"/>
  </cols>
  <sheetData>
    <row r="1" spans="2:7" x14ac:dyDescent="0.25">
      <c r="G1" s="1" t="s">
        <v>0</v>
      </c>
    </row>
    <row r="4" spans="2:7" ht="16.5" customHeight="1" x14ac:dyDescent="0.25">
      <c r="B4" s="37" t="s">
        <v>56</v>
      </c>
      <c r="C4" s="38"/>
      <c r="D4" s="38"/>
      <c r="E4" s="40"/>
      <c r="F4" s="38"/>
      <c r="G4" s="39"/>
    </row>
    <row r="6" spans="2:7" x14ac:dyDescent="0.25">
      <c r="B6" t="s">
        <v>24</v>
      </c>
      <c r="E6" s="12">
        <f>'Scenario 1'!H22</f>
        <v>670.97497240829216</v>
      </c>
      <c r="F6" t="s">
        <v>23</v>
      </c>
    </row>
    <row r="7" spans="2:7" x14ac:dyDescent="0.25">
      <c r="B7" t="s">
        <v>25</v>
      </c>
      <c r="E7" s="29">
        <f>ROUNDUP(E6,0)/'Scenario 1'!$F$22</f>
        <v>14.391729581331502</v>
      </c>
      <c r="F7" t="s">
        <v>62</v>
      </c>
    </row>
    <row r="8" spans="2:7" x14ac:dyDescent="0.25">
      <c r="B8" t="s">
        <v>50</v>
      </c>
      <c r="E8" s="15">
        <f>'Scenario 1'!K16*E7</f>
        <v>10347.65356897735</v>
      </c>
    </row>
    <row r="10" spans="2:7" x14ac:dyDescent="0.25">
      <c r="B10" s="7" t="s">
        <v>26</v>
      </c>
      <c r="C10" s="8"/>
      <c r="D10" s="8"/>
      <c r="E10" s="8"/>
      <c r="F10" s="8"/>
      <c r="G10" s="9"/>
    </row>
    <row r="12" spans="2:7" x14ac:dyDescent="0.25">
      <c r="B12" t="s">
        <v>43</v>
      </c>
      <c r="E12" s="11">
        <f>'Scenario 1'!H22/31</f>
        <v>21.644353948654587</v>
      </c>
      <c r="F12" t="s">
        <v>23</v>
      </c>
      <c r="G12" s="86" t="s">
        <v>61</v>
      </c>
    </row>
    <row r="13" spans="2:7" x14ac:dyDescent="0.25">
      <c r="B13" t="s">
        <v>44</v>
      </c>
      <c r="E13" s="11">
        <f>E12*2</f>
        <v>43.288707897309173</v>
      </c>
      <c r="F13" t="s">
        <v>23</v>
      </c>
      <c r="G13" s="86"/>
    </row>
    <row r="14" spans="2:7" x14ac:dyDescent="0.25">
      <c r="B14" t="s">
        <v>27</v>
      </c>
      <c r="E14">
        <v>50</v>
      </c>
      <c r="F14" t="s">
        <v>28</v>
      </c>
      <c r="G14" s="86"/>
    </row>
    <row r="15" spans="2:7" x14ac:dyDescent="0.25">
      <c r="B15" t="s">
        <v>45</v>
      </c>
      <c r="E15" s="11">
        <f>E13*100/E14</f>
        <v>86.577415794618361</v>
      </c>
      <c r="F15" t="s">
        <v>23</v>
      </c>
      <c r="G15" s="86"/>
    </row>
    <row r="16" spans="2:7" x14ac:dyDescent="0.25">
      <c r="E16" s="11"/>
    </row>
    <row r="17" spans="2:12" x14ac:dyDescent="0.25">
      <c r="B17" s="35" t="s">
        <v>48</v>
      </c>
      <c r="C17" s="8"/>
      <c r="D17" s="9"/>
    </row>
    <row r="18" spans="2:12" x14ac:dyDescent="0.25">
      <c r="B18" t="s">
        <v>29</v>
      </c>
      <c r="E18">
        <v>1275</v>
      </c>
      <c r="F18" t="s">
        <v>31</v>
      </c>
    </row>
    <row r="19" spans="2:12" x14ac:dyDescent="0.25">
      <c r="B19" t="s">
        <v>30</v>
      </c>
      <c r="E19">
        <v>12</v>
      </c>
      <c r="F19" t="s">
        <v>32</v>
      </c>
    </row>
    <row r="20" spans="2:12" x14ac:dyDescent="0.25">
      <c r="B20" t="s">
        <v>33</v>
      </c>
      <c r="E20">
        <f>E19*E18/1000</f>
        <v>15.3</v>
      </c>
      <c r="F20" t="s">
        <v>23</v>
      </c>
    </row>
    <row r="21" spans="2:12" x14ac:dyDescent="0.25">
      <c r="B21" t="s">
        <v>34</v>
      </c>
      <c r="E21" s="11">
        <f>E15/E20</f>
        <v>5.6586546270992386</v>
      </c>
      <c r="F21" t="s">
        <v>46</v>
      </c>
    </row>
    <row r="22" spans="2:12" x14ac:dyDescent="0.25">
      <c r="E22" s="1">
        <v>6</v>
      </c>
      <c r="F22" t="s">
        <v>47</v>
      </c>
    </row>
    <row r="23" spans="2:12" x14ac:dyDescent="0.25">
      <c r="B23" t="s">
        <v>51</v>
      </c>
      <c r="E23" s="14">
        <v>2275</v>
      </c>
      <c r="F23" t="s">
        <v>52</v>
      </c>
    </row>
    <row r="24" spans="2:12" x14ac:dyDescent="0.25">
      <c r="B24" t="s">
        <v>53</v>
      </c>
      <c r="E24" s="15">
        <f>E23*E22</f>
        <v>13650</v>
      </c>
    </row>
    <row r="26" spans="2:12" ht="18.75" x14ac:dyDescent="0.3">
      <c r="B26" s="7" t="s">
        <v>54</v>
      </c>
      <c r="C26" s="8"/>
      <c r="D26" s="8"/>
      <c r="E26" s="36">
        <f>E24+E8</f>
        <v>23997.653568977352</v>
      </c>
    </row>
    <row r="27" spans="2:12" ht="18.75" x14ac:dyDescent="0.3">
      <c r="B27" s="3"/>
      <c r="C27" s="3"/>
      <c r="D27" s="3"/>
      <c r="E27" s="71"/>
    </row>
    <row r="28" spans="2:12" ht="15.75" x14ac:dyDescent="0.25">
      <c r="B28" s="70" t="s">
        <v>75</v>
      </c>
      <c r="C28" s="3"/>
      <c r="D28" s="3"/>
      <c r="E28" s="75">
        <f>SUM('Scenario 1'!F16:F27)</f>
        <v>402.54399999999998</v>
      </c>
      <c r="F28" t="s">
        <v>23</v>
      </c>
    </row>
    <row r="29" spans="2:12" ht="15.75" x14ac:dyDescent="0.25">
      <c r="B29" s="70" t="s">
        <v>76</v>
      </c>
      <c r="C29" s="3"/>
      <c r="D29" s="3"/>
      <c r="E29" s="74">
        <f>E28*15</f>
        <v>6038.16</v>
      </c>
      <c r="F29" t="s">
        <v>23</v>
      </c>
    </row>
    <row r="30" spans="2:12" ht="18.75" x14ac:dyDescent="0.3">
      <c r="B30" s="70" t="s">
        <v>73</v>
      </c>
      <c r="C30" s="3"/>
      <c r="D30" s="3"/>
      <c r="E30" s="76">
        <f>E29*12*1000*0.3/(365*24)</f>
        <v>2481.4356164383562</v>
      </c>
      <c r="F30" s="72" t="s">
        <v>74</v>
      </c>
      <c r="G30" s="73"/>
      <c r="H30" s="73"/>
      <c r="I30" s="73"/>
      <c r="J30" s="73"/>
      <c r="K30" s="9"/>
    </row>
    <row r="31" spans="2:12" ht="15.75" thickBot="1" x14ac:dyDescent="0.3">
      <c r="B31" s="70" t="s">
        <v>72</v>
      </c>
      <c r="E31" s="14">
        <f>E26-E30</f>
        <v>21516.217952538995</v>
      </c>
      <c r="F31" s="93" t="s">
        <v>78</v>
      </c>
      <c r="G31" s="93"/>
      <c r="H31" s="93"/>
      <c r="I31" s="93"/>
      <c r="J31" s="93"/>
      <c r="K31" s="93"/>
      <c r="L31" s="92"/>
    </row>
    <row r="32" spans="2:12" ht="15.75" thickTop="1" x14ac:dyDescent="0.25">
      <c r="B32" s="70"/>
      <c r="E32" s="14"/>
    </row>
    <row r="33" spans="2:5" x14ac:dyDescent="0.25">
      <c r="B33" t="s">
        <v>66</v>
      </c>
      <c r="E33" s="54">
        <f>0.3*E31</f>
        <v>6454.8653857616982</v>
      </c>
    </row>
    <row r="35" spans="2:5" ht="18.75" x14ac:dyDescent="0.3">
      <c r="B35" t="s">
        <v>67</v>
      </c>
      <c r="E35" s="55">
        <f>E26-E33</f>
        <v>17542.788183215653</v>
      </c>
    </row>
  </sheetData>
  <mergeCells count="1">
    <mergeCell ref="G12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topLeftCell="A10" workbookViewId="0">
      <selection activeCell="N12" sqref="N12"/>
    </sheetView>
  </sheetViews>
  <sheetFormatPr defaultRowHeight="15" x14ac:dyDescent="0.25"/>
  <cols>
    <col min="4" max="4" width="10.42578125" customWidth="1"/>
    <col min="5" max="5" width="10.28515625" customWidth="1"/>
    <col min="6" max="6" width="14.42578125" customWidth="1"/>
    <col min="7" max="8" width="16.42578125" customWidth="1"/>
    <col min="9" max="9" width="13.85546875" customWidth="1"/>
    <col min="12" max="12" width="11" customWidth="1"/>
    <col min="13" max="13" width="15.140625" customWidth="1"/>
    <col min="14" max="14" width="16.5703125" customWidth="1"/>
    <col min="15" max="15" width="23.140625" customWidth="1"/>
    <col min="16" max="16" width="19" customWidth="1"/>
  </cols>
  <sheetData>
    <row r="1" spans="2:16" x14ac:dyDescent="0.25">
      <c r="G1" s="1" t="s">
        <v>0</v>
      </c>
      <c r="H1" s="1"/>
    </row>
    <row r="3" spans="2:16" x14ac:dyDescent="0.25">
      <c r="B3" s="37" t="s">
        <v>57</v>
      </c>
      <c r="C3" s="38"/>
      <c r="D3" s="38"/>
      <c r="E3" s="40"/>
      <c r="F3" s="38"/>
      <c r="G3" s="39"/>
      <c r="H3" s="42"/>
    </row>
    <row r="5" spans="2:16" x14ac:dyDescent="0.25">
      <c r="G5" s="13">
        <v>42705</v>
      </c>
      <c r="H5" s="13"/>
    </row>
    <row r="6" spans="2:16" x14ac:dyDescent="0.25">
      <c r="B6" s="2" t="s">
        <v>1</v>
      </c>
      <c r="C6" s="2"/>
      <c r="D6" s="2"/>
      <c r="E6" s="2"/>
      <c r="F6" s="2"/>
      <c r="G6" s="2">
        <v>88400</v>
      </c>
      <c r="H6" s="3"/>
    </row>
    <row r="7" spans="2:16" x14ac:dyDescent="0.25">
      <c r="B7" s="2" t="s">
        <v>2</v>
      </c>
      <c r="C7" s="2"/>
      <c r="D7" s="2"/>
      <c r="E7" s="2"/>
      <c r="F7" s="2"/>
      <c r="G7" s="21">
        <v>39250017</v>
      </c>
      <c r="H7" s="20"/>
    </row>
    <row r="8" spans="2:16" x14ac:dyDescent="0.25">
      <c r="B8" s="2" t="s">
        <v>3</v>
      </c>
      <c r="C8" s="2"/>
      <c r="D8" s="2"/>
      <c r="E8" s="2"/>
      <c r="F8" s="2"/>
      <c r="G8" s="2">
        <v>2.96</v>
      </c>
      <c r="H8" s="3"/>
    </row>
    <row r="9" spans="2:16" x14ac:dyDescent="0.25">
      <c r="B9" s="8" t="s">
        <v>4</v>
      </c>
      <c r="C9" s="8"/>
      <c r="D9" s="8"/>
      <c r="E9" s="8"/>
      <c r="F9" s="8"/>
      <c r="G9" s="8">
        <f>G7/G8</f>
        <v>13260140.878378378</v>
      </c>
      <c r="H9" s="3"/>
    </row>
    <row r="12" spans="2:16" x14ac:dyDescent="0.25">
      <c r="B12" s="87" t="s">
        <v>9</v>
      </c>
      <c r="C12" s="88"/>
      <c r="D12" s="88"/>
      <c r="E12" s="88"/>
      <c r="F12" s="88"/>
      <c r="G12" s="88"/>
      <c r="H12" s="88"/>
      <c r="I12" s="89"/>
    </row>
    <row r="13" spans="2:16" ht="15.75" thickBot="1" x14ac:dyDescent="0.3">
      <c r="M13" s="94" t="s">
        <v>78</v>
      </c>
    </row>
    <row r="14" spans="2:16" ht="90.75" thickTop="1" x14ac:dyDescent="0.25">
      <c r="B14" s="1" t="s">
        <v>5</v>
      </c>
      <c r="C14" s="1" t="s">
        <v>6</v>
      </c>
      <c r="D14" s="1" t="s">
        <v>7</v>
      </c>
      <c r="E14" s="1" t="s">
        <v>22</v>
      </c>
      <c r="F14" s="22" t="s">
        <v>42</v>
      </c>
      <c r="G14" s="43" t="s">
        <v>38</v>
      </c>
      <c r="H14" s="30" t="s">
        <v>58</v>
      </c>
      <c r="I14" s="22" t="s">
        <v>39</v>
      </c>
      <c r="J14" s="22" t="s">
        <v>40</v>
      </c>
      <c r="K14" s="22" t="s">
        <v>41</v>
      </c>
      <c r="L14" s="22" t="s">
        <v>49</v>
      </c>
      <c r="M14" s="65" t="s">
        <v>69</v>
      </c>
      <c r="N14" s="65" t="s">
        <v>71</v>
      </c>
      <c r="O14" s="90" t="s">
        <v>63</v>
      </c>
      <c r="P14" s="90"/>
    </row>
    <row r="15" spans="2:16" ht="45" x14ac:dyDescent="0.25">
      <c r="B15" s="7"/>
      <c r="C15" s="8"/>
      <c r="D15" s="8" t="s">
        <v>8</v>
      </c>
      <c r="E15" s="8" t="s">
        <v>23</v>
      </c>
      <c r="F15" s="8" t="s">
        <v>35</v>
      </c>
      <c r="G15" s="44" t="s">
        <v>23</v>
      </c>
      <c r="H15" s="31" t="s">
        <v>23</v>
      </c>
      <c r="I15" s="8"/>
      <c r="J15" s="8"/>
      <c r="K15" s="8"/>
      <c r="L15" s="9"/>
      <c r="M15" s="7" t="s">
        <v>70</v>
      </c>
      <c r="N15" s="9"/>
      <c r="O15" s="52" t="s">
        <v>64</v>
      </c>
      <c r="P15" s="51" t="s">
        <v>65</v>
      </c>
    </row>
    <row r="16" spans="2:16" x14ac:dyDescent="0.25">
      <c r="B16" s="49" t="s">
        <v>10</v>
      </c>
      <c r="C16" s="3">
        <v>31</v>
      </c>
      <c r="D16" s="3">
        <v>4</v>
      </c>
      <c r="E16" s="3">
        <f>160*D16*C16/1000</f>
        <v>19.84</v>
      </c>
      <c r="F16" s="24">
        <v>7807.7228699999996</v>
      </c>
      <c r="G16" s="45">
        <f>F16*1000*1000*$G$8/$G$7</f>
        <v>588.81145695299949</v>
      </c>
      <c r="H16" s="41">
        <f>G16*0.85</f>
        <v>500.48973841004954</v>
      </c>
      <c r="I16" s="24">
        <f>H16/E16</f>
        <v>25.226297298893627</v>
      </c>
      <c r="J16" s="25">
        <f>ROUNDUP(I16,0)</f>
        <v>26</v>
      </c>
      <c r="K16" s="26">
        <v>719</v>
      </c>
      <c r="L16" s="28">
        <f>K16*J16</f>
        <v>18694</v>
      </c>
      <c r="M16" s="61">
        <f>H16*0.3*1000/(C16*24)</f>
        <v>201.81037839114902</v>
      </c>
      <c r="N16" s="60">
        <f>L16-M28</f>
        <v>16366.854644203269</v>
      </c>
      <c r="O16" s="69">
        <f>0.3*N16</f>
        <v>4910.0563932609803</v>
      </c>
      <c r="P16" s="53">
        <f>N16-O16</f>
        <v>11456.798250942289</v>
      </c>
    </row>
    <row r="17" spans="2:14" x14ac:dyDescent="0.25">
      <c r="B17" s="49" t="s">
        <v>11</v>
      </c>
      <c r="C17" s="3">
        <v>28</v>
      </c>
      <c r="D17" s="3">
        <v>5</v>
      </c>
      <c r="E17" s="3">
        <f t="shared" ref="E17:E27" si="0">160*D17*C17/1000</f>
        <v>22.4</v>
      </c>
      <c r="F17" s="24">
        <v>6489.0081899999996</v>
      </c>
      <c r="G17" s="45">
        <f t="shared" ref="G17:G27" si="1">F17*1000*1000*$G$8/$G$7</f>
        <v>489.36193435024495</v>
      </c>
      <c r="H17" s="41">
        <f t="shared" ref="H17:H27" si="2">G17*0.85</f>
        <v>415.95764419770819</v>
      </c>
      <c r="I17" s="24">
        <f t="shared" ref="I17:I27" si="3">H17/E17</f>
        <v>18.569537687397688</v>
      </c>
      <c r="J17" s="25">
        <f t="shared" ref="J17:J27" si="4">ROUNDUP(I17,0)</f>
        <v>19</v>
      </c>
      <c r="K17" s="3"/>
      <c r="L17" s="4"/>
      <c r="M17" s="61">
        <f t="shared" ref="M17:M27" si="5">H17*0.3*1000/(C17*24)</f>
        <v>185.69537687397684</v>
      </c>
      <c r="N17" s="56"/>
    </row>
    <row r="18" spans="2:14" x14ac:dyDescent="0.25">
      <c r="B18" s="49" t="s">
        <v>12</v>
      </c>
      <c r="C18" s="3">
        <v>31</v>
      </c>
      <c r="D18" s="3">
        <v>6.5</v>
      </c>
      <c r="E18" s="3">
        <f t="shared" si="0"/>
        <v>32.24</v>
      </c>
      <c r="F18" s="24">
        <v>6448.7995300000002</v>
      </c>
      <c r="G18" s="45">
        <f t="shared" si="1"/>
        <v>486.32963926614349</v>
      </c>
      <c r="H18" s="41">
        <f t="shared" si="2"/>
        <v>413.38019337622194</v>
      </c>
      <c r="I18" s="24">
        <f t="shared" si="3"/>
        <v>12.821966295788521</v>
      </c>
      <c r="J18" s="25">
        <f t="shared" si="4"/>
        <v>13</v>
      </c>
      <c r="K18" s="3"/>
      <c r="L18" s="4"/>
      <c r="M18" s="61">
        <f t="shared" si="5"/>
        <v>166.68556184525076</v>
      </c>
      <c r="N18" s="56"/>
    </row>
    <row r="19" spans="2:14" x14ac:dyDescent="0.25">
      <c r="B19" s="49" t="s">
        <v>13</v>
      </c>
      <c r="C19" s="3">
        <v>30</v>
      </c>
      <c r="D19" s="3">
        <v>8</v>
      </c>
      <c r="E19" s="3">
        <f t="shared" si="0"/>
        <v>38.4</v>
      </c>
      <c r="F19" s="24">
        <v>5916.1965799999998</v>
      </c>
      <c r="G19" s="45">
        <f t="shared" si="1"/>
        <v>446.16393100670501</v>
      </c>
      <c r="H19" s="41">
        <f t="shared" si="2"/>
        <v>379.23934135569925</v>
      </c>
      <c r="I19" s="24">
        <f t="shared" si="3"/>
        <v>9.8760245144713359</v>
      </c>
      <c r="J19" s="25">
        <f t="shared" si="4"/>
        <v>10</v>
      </c>
      <c r="K19" s="3"/>
      <c r="L19" s="4"/>
      <c r="M19" s="61">
        <f t="shared" si="5"/>
        <v>158.01639223154135</v>
      </c>
      <c r="N19" s="56"/>
    </row>
    <row r="20" spans="2:14" x14ac:dyDescent="0.25">
      <c r="B20" s="49" t="s">
        <v>14</v>
      </c>
      <c r="C20" s="3">
        <v>31</v>
      </c>
      <c r="D20" s="3">
        <v>8.6999999999999993</v>
      </c>
      <c r="E20" s="3">
        <f t="shared" si="0"/>
        <v>43.152000000000001</v>
      </c>
      <c r="F20" s="24">
        <v>5975.41896</v>
      </c>
      <c r="G20" s="45">
        <f t="shared" si="1"/>
        <v>450.63012639204715</v>
      </c>
      <c r="H20" s="41">
        <f t="shared" si="2"/>
        <v>383.03560743324005</v>
      </c>
      <c r="I20" s="24">
        <f t="shared" si="3"/>
        <v>8.8764276843075649</v>
      </c>
      <c r="J20" s="25">
        <f t="shared" si="4"/>
        <v>9</v>
      </c>
      <c r="K20" s="3"/>
      <c r="L20" s="4"/>
      <c r="M20" s="61">
        <f t="shared" si="5"/>
        <v>154.44984170695162</v>
      </c>
      <c r="N20" s="56"/>
    </row>
    <row r="21" spans="2:14" x14ac:dyDescent="0.25">
      <c r="B21" s="49" t="s">
        <v>15</v>
      </c>
      <c r="C21" s="3">
        <v>30</v>
      </c>
      <c r="D21" s="3">
        <v>8.9</v>
      </c>
      <c r="E21" s="3">
        <f t="shared" si="0"/>
        <v>42.72</v>
      </c>
      <c r="F21" s="24">
        <v>7572.9074600000004</v>
      </c>
      <c r="G21" s="45">
        <f t="shared" si="1"/>
        <v>571.10309230184532</v>
      </c>
      <c r="H21" s="41">
        <f t="shared" si="2"/>
        <v>485.43762845656852</v>
      </c>
      <c r="I21" s="24">
        <f t="shared" si="3"/>
        <v>11.363240366492709</v>
      </c>
      <c r="J21" s="25">
        <f t="shared" si="4"/>
        <v>12</v>
      </c>
      <c r="K21" s="3"/>
      <c r="L21" s="4"/>
      <c r="M21" s="61">
        <f t="shared" si="5"/>
        <v>202.26567852357019</v>
      </c>
      <c r="N21" s="56"/>
    </row>
    <row r="22" spans="2:14" x14ac:dyDescent="0.25">
      <c r="B22" s="49" t="s">
        <v>16</v>
      </c>
      <c r="C22" s="3">
        <v>31</v>
      </c>
      <c r="D22" s="3">
        <v>9.4</v>
      </c>
      <c r="E22" s="3">
        <f t="shared" si="0"/>
        <v>46.624000000000002</v>
      </c>
      <c r="F22" s="24">
        <v>8897.2226599999995</v>
      </c>
      <c r="G22" s="45">
        <f t="shared" si="1"/>
        <v>670.97497240829216</v>
      </c>
      <c r="H22" s="41">
        <f t="shared" si="2"/>
        <v>570.32872654704829</v>
      </c>
      <c r="I22" s="24">
        <f t="shared" si="3"/>
        <v>12.232513867258241</v>
      </c>
      <c r="J22" s="25">
        <f t="shared" si="4"/>
        <v>13</v>
      </c>
      <c r="K22" s="3"/>
      <c r="L22" s="4"/>
      <c r="M22" s="61">
        <f t="shared" si="5"/>
        <v>229.97126070445492</v>
      </c>
      <c r="N22" s="56"/>
    </row>
    <row r="23" spans="2:14" x14ac:dyDescent="0.25">
      <c r="B23" s="49" t="s">
        <v>17</v>
      </c>
      <c r="C23" s="3">
        <v>31</v>
      </c>
      <c r="D23" s="3">
        <v>8.8000000000000007</v>
      </c>
      <c r="E23" s="3">
        <f t="shared" si="0"/>
        <v>43.648000000000003</v>
      </c>
      <c r="F23" s="24">
        <v>10194.063980000001</v>
      </c>
      <c r="G23" s="45">
        <f t="shared" si="1"/>
        <v>768.77493787582307</v>
      </c>
      <c r="H23" s="41">
        <f t="shared" si="2"/>
        <v>653.45869719444954</v>
      </c>
      <c r="I23" s="24">
        <f t="shared" si="3"/>
        <v>14.971102849946149</v>
      </c>
      <c r="J23" s="25">
        <f t="shared" si="4"/>
        <v>15</v>
      </c>
      <c r="K23" s="3"/>
      <c r="L23" s="4"/>
      <c r="M23" s="61">
        <f t="shared" si="5"/>
        <v>263.49141015905224</v>
      </c>
      <c r="N23" s="56"/>
    </row>
    <row r="24" spans="2:14" x14ac:dyDescent="0.25">
      <c r="B24" s="49" t="s">
        <v>18</v>
      </c>
      <c r="C24" s="3">
        <v>30</v>
      </c>
      <c r="D24" s="3">
        <v>8.1999999999999993</v>
      </c>
      <c r="E24" s="3">
        <f t="shared" si="0"/>
        <v>39.36</v>
      </c>
      <c r="F24" s="24">
        <v>8473.2748100000008</v>
      </c>
      <c r="G24" s="45">
        <f t="shared" si="1"/>
        <v>639.00337769535236</v>
      </c>
      <c r="H24" s="41">
        <f t="shared" si="2"/>
        <v>543.15287104104948</v>
      </c>
      <c r="I24" s="24">
        <f t="shared" si="3"/>
        <v>13.799615626042923</v>
      </c>
      <c r="J24" s="25">
        <f t="shared" si="4"/>
        <v>14</v>
      </c>
      <c r="K24" s="3"/>
      <c r="L24" s="4"/>
      <c r="M24" s="61">
        <f t="shared" si="5"/>
        <v>226.31369626710395</v>
      </c>
      <c r="N24" s="56"/>
    </row>
    <row r="25" spans="2:14" x14ac:dyDescent="0.25">
      <c r="B25" s="49" t="s">
        <v>19</v>
      </c>
      <c r="C25" s="3">
        <v>31</v>
      </c>
      <c r="D25" s="3">
        <v>6.6</v>
      </c>
      <c r="E25" s="3">
        <f t="shared" si="0"/>
        <v>32.735999999999997</v>
      </c>
      <c r="F25" s="24">
        <v>7108.9041299999999</v>
      </c>
      <c r="G25" s="45">
        <f t="shared" si="1"/>
        <v>536.11075441827199</v>
      </c>
      <c r="H25" s="41">
        <f t="shared" si="2"/>
        <v>455.69414125553118</v>
      </c>
      <c r="I25" s="24">
        <f t="shared" si="3"/>
        <v>13.920275575987635</v>
      </c>
      <c r="J25" s="25">
        <f t="shared" si="4"/>
        <v>14</v>
      </c>
      <c r="K25" s="3"/>
      <c r="L25" s="4"/>
      <c r="M25" s="61">
        <f t="shared" si="5"/>
        <v>183.74763760303676</v>
      </c>
      <c r="N25" s="56"/>
    </row>
    <row r="26" spans="2:14" x14ac:dyDescent="0.25">
      <c r="B26" s="49" t="s">
        <v>20</v>
      </c>
      <c r="C26" s="3">
        <v>30</v>
      </c>
      <c r="D26" s="3">
        <v>4.5999999999999996</v>
      </c>
      <c r="E26" s="3">
        <f t="shared" si="0"/>
        <v>22.08</v>
      </c>
      <c r="F26" s="24">
        <v>6194.2274100000004</v>
      </c>
      <c r="G26" s="45">
        <f t="shared" si="1"/>
        <v>467.13134248069241</v>
      </c>
      <c r="H26" s="41">
        <f t="shared" si="2"/>
        <v>397.06164110858856</v>
      </c>
      <c r="I26" s="24">
        <f t="shared" si="3"/>
        <v>17.982864180642601</v>
      </c>
      <c r="J26" s="25">
        <f t="shared" si="4"/>
        <v>18</v>
      </c>
      <c r="K26" s="3"/>
      <c r="L26" s="4"/>
      <c r="M26" s="61">
        <f t="shared" si="5"/>
        <v>165.4423504619119</v>
      </c>
      <c r="N26" s="56"/>
    </row>
    <row r="27" spans="2:14" x14ac:dyDescent="0.25">
      <c r="B27" s="50" t="s">
        <v>21</v>
      </c>
      <c r="C27" s="5">
        <v>31</v>
      </c>
      <c r="D27" s="5">
        <v>3.9</v>
      </c>
      <c r="E27" s="5">
        <f t="shared" si="0"/>
        <v>19.344000000000001</v>
      </c>
      <c r="F27" s="27">
        <v>7322.0050600000004</v>
      </c>
      <c r="G27" s="46">
        <f t="shared" si="1"/>
        <v>552.18154370735692</v>
      </c>
      <c r="H27" s="47">
        <f t="shared" si="2"/>
        <v>469.3543121512534</v>
      </c>
      <c r="I27" s="27">
        <f t="shared" si="3"/>
        <v>24.26356038829887</v>
      </c>
      <c r="J27" s="48">
        <f t="shared" si="4"/>
        <v>25</v>
      </c>
      <c r="K27" s="5"/>
      <c r="L27" s="6"/>
      <c r="M27" s="61">
        <f t="shared" si="5"/>
        <v>189.25577102873117</v>
      </c>
      <c r="N27" s="56"/>
    </row>
    <row r="28" spans="2:14" x14ac:dyDescent="0.25">
      <c r="M28" s="58">
        <f>SUM(M16:M27)</f>
        <v>2327.1453557967307</v>
      </c>
    </row>
  </sheetData>
  <mergeCells count="2">
    <mergeCell ref="B12:I12"/>
    <mergeCell ref="O14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1</vt:lpstr>
      <vt:lpstr>Scenario 2 </vt:lpstr>
      <vt:lpstr>Scenario 3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Vivek Patil</cp:lastModifiedBy>
  <cp:revision/>
  <dcterms:created xsi:type="dcterms:W3CDTF">2017-03-22T04:43:44Z</dcterms:created>
  <dcterms:modified xsi:type="dcterms:W3CDTF">2017-03-23T16:32:22Z</dcterms:modified>
  <cp:category/>
  <cp:contentStatus/>
</cp:coreProperties>
</file>